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33" documentId="11_A03ABD2C02B4AF56127228DF3142353EACBFC4AD" xr6:coauthVersionLast="45" xr6:coauthVersionMax="45" xr10:uidLastSave="{2123FD09-24A7-47C3-B668-3EEAFBD8DD17}"/>
  <bookViews>
    <workbookView xWindow="-120" yWindow="-120" windowWidth="29040" windowHeight="15840" activeTab="3" xr2:uid="{00000000-000D-0000-FFFF-FFFF00000000}"/>
  </bookViews>
  <sheets>
    <sheet name="Podsumowanie" sheetId="13" r:id="rId1"/>
    <sheet name="Budżet czasu FY19" sheetId="1" r:id="rId2"/>
    <sheet name="Działania" sheetId="12" r:id="rId3"/>
    <sheet name="Pozaprojektowe" sheetId="14" r:id="rId4"/>
    <sheet name="Założenia jednostkowe" sheetId="15" r:id="rId5"/>
  </sheets>
  <definedNames>
    <definedName name="godzinWdniu">'Budżet czasu FY19'!$C$3</definedName>
    <definedName name="tygodni">'Budżet czasu FY19'!$D$16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14" l="1"/>
  <c r="E6" i="12"/>
  <c r="D6" i="12" s="1"/>
  <c r="B33" i="14"/>
  <c r="C32" i="14"/>
  <c r="B32" i="14" s="1"/>
  <c r="D21" i="12"/>
  <c r="E20" i="12"/>
  <c r="D20" i="12" s="1"/>
  <c r="E19" i="12"/>
  <c r="D19" i="12" s="1"/>
  <c r="B31" i="14"/>
  <c r="C18" i="14"/>
  <c r="E18" i="12"/>
  <c r="D17" i="12"/>
  <c r="D15" i="12"/>
  <c r="D14" i="12"/>
  <c r="E13" i="12"/>
  <c r="D13" i="12"/>
  <c r="E11" i="12"/>
  <c r="D11" i="12" s="1"/>
  <c r="E10" i="12"/>
  <c r="E12" i="12"/>
  <c r="D10" i="12"/>
  <c r="D9" i="12"/>
  <c r="E8" i="12"/>
  <c r="D8" i="12" s="1"/>
  <c r="E7" i="12"/>
  <c r="D7" i="12" s="1"/>
  <c r="E5" i="12"/>
  <c r="D5" i="12" s="1"/>
  <c r="E4" i="12"/>
  <c r="D4" i="12" s="1"/>
  <c r="B29" i="14"/>
  <c r="B25" i="14"/>
  <c r="C25" i="14"/>
  <c r="B21" i="14"/>
  <c r="C8" i="14"/>
  <c r="C3" i="14" l="1"/>
  <c r="C27" i="14" l="1"/>
  <c r="B27" i="14" s="1"/>
  <c r="B28" i="14" s="1"/>
  <c r="B26" i="14"/>
  <c r="C16" i="14"/>
  <c r="C5" i="14"/>
  <c r="C28" i="14" l="1"/>
  <c r="C13" i="15"/>
  <c r="C12" i="15"/>
  <c r="B11" i="15"/>
  <c r="C10" i="15"/>
  <c r="B9" i="15"/>
  <c r="B8" i="15"/>
  <c r="B7" i="15"/>
  <c r="B6" i="15"/>
  <c r="B5" i="15"/>
  <c r="C4" i="15"/>
  <c r="B3" i="15"/>
  <c r="B14" i="15"/>
  <c r="C14" i="15" s="1"/>
  <c r="B16" i="14"/>
  <c r="B13" i="14"/>
  <c r="C6" i="14"/>
  <c r="C4" i="14"/>
  <c r="B24" i="14"/>
  <c r="B15" i="14"/>
  <c r="C14" i="14"/>
  <c r="B14" i="14" s="1"/>
  <c r="B5" i="14"/>
  <c r="B3" i="14" l="1"/>
  <c r="C5" i="1" l="1"/>
  <c r="C6" i="1"/>
  <c r="C7" i="1"/>
  <c r="C8" i="1"/>
  <c r="C9" i="1"/>
  <c r="B16" i="1"/>
  <c r="C4" i="1"/>
  <c r="B3" i="13" l="1"/>
  <c r="C30" i="14"/>
  <c r="B30" i="14" s="1"/>
  <c r="D16" i="1"/>
  <c r="C16" i="1"/>
  <c r="C3" i="13" s="1"/>
  <c r="C12" i="14" l="1"/>
  <c r="E16" i="12"/>
  <c r="D16" i="12" s="1"/>
  <c r="C10" i="14"/>
  <c r="C17" i="14"/>
  <c r="B17" i="14" s="1"/>
  <c r="C23" i="14"/>
  <c r="B23" i="14" s="1"/>
  <c r="B10" i="14"/>
  <c r="B12" i="14"/>
  <c r="C22" i="14"/>
  <c r="B22" i="14" s="1"/>
  <c r="C9" i="14"/>
  <c r="B9" i="14" s="1"/>
  <c r="C7" i="14"/>
  <c r="B7" i="14" l="1"/>
  <c r="D29" i="12"/>
  <c r="B4" i="13" s="1"/>
  <c r="E29" i="12"/>
  <c r="C4" i="13" s="1"/>
  <c r="B8" i="14"/>
  <c r="B35" i="14" s="1"/>
  <c r="B5" i="13" s="1"/>
  <c r="C35" i="14"/>
  <c r="C5" i="13" s="1"/>
  <c r="B6" i="13" l="1"/>
  <c r="C6" i="13"/>
</calcChain>
</file>

<file path=xl/sharedStrings.xml><?xml version="1.0" encoding="utf-8"?>
<sst xmlns="http://schemas.openxmlformats.org/spreadsheetml/2006/main" count="127" uniqueCount="117">
  <si>
    <t>dni</t>
  </si>
  <si>
    <t>godziny</t>
  </si>
  <si>
    <t>założenia</t>
  </si>
  <si>
    <t>choroby</t>
  </si>
  <si>
    <t>BUDŻET CZASU PRACY W FY19</t>
  </si>
  <si>
    <t>Szkolenia</t>
  </si>
  <si>
    <t>Przyg. i rozl. wyjazdu służbowego</t>
  </si>
  <si>
    <t>Przyg. Interpelacji</t>
  </si>
  <si>
    <t>Cel</t>
  </si>
  <si>
    <t>Działanie</t>
  </si>
  <si>
    <t>Poddziałanie</t>
  </si>
  <si>
    <t>Budżet czasowy</t>
  </si>
  <si>
    <t>dni z dzieckiem</t>
  </si>
  <si>
    <t>okazjonalne</t>
  </si>
  <si>
    <t>Obsługa biznesu</t>
  </si>
  <si>
    <t>Audyty / kontrole zaległe</t>
  </si>
  <si>
    <t>Przygotowanie spotkania (małe, wewn.), samo spotkanie 1h</t>
  </si>
  <si>
    <t>Przygotowanie spotkania (duże, zewn.)/konferencja, całodniowe</t>
  </si>
  <si>
    <t>Przygotowanie ToR i rozliczenie zamówienia (mniejsze, ekspertyza)</t>
  </si>
  <si>
    <t>Duże przetargi</t>
  </si>
  <si>
    <t>Pisanie wniosku o grant mały</t>
  </si>
  <si>
    <t>Pisanie wniosku o grant duży</t>
  </si>
  <si>
    <t>Konsultacje formalne (np.. rozp, ustawy, strategie)</t>
  </si>
  <si>
    <t>Udział w komisji sejmowej/udział w panelu/konferencji</t>
  </si>
  <si>
    <t>współpraca z EPO</t>
  </si>
  <si>
    <t>współpraca z "Practice" i siecią</t>
  </si>
  <si>
    <t>Godziny</t>
  </si>
  <si>
    <t>Dni</t>
  </si>
  <si>
    <t>tygodnie</t>
  </si>
  <si>
    <t>ilość tygodni w roku</t>
  </si>
  <si>
    <t>ilość godzin pracy/dzień pracuący</t>
  </si>
  <si>
    <t>Ilość dni i godzin pracujących w FY19</t>
  </si>
  <si>
    <t>przysługujace dni i godziny wolne</t>
  </si>
  <si>
    <t>zaległe dni i godziny wolne</t>
  </si>
  <si>
    <t>Obsługa komunikacji poza planami DOP (np.. Eventy, GdZ, dzień oceanów, ect.)</t>
  </si>
  <si>
    <t>Wyjazd integracyjny</t>
  </si>
  <si>
    <t>Model Kompetencji 360 - samoocena i ocena innych</t>
  </si>
  <si>
    <t xml:space="preserve">Spotkania Działowe </t>
  </si>
  <si>
    <t>Wyjazd działowy strategiczny</t>
  </si>
  <si>
    <t>Spotkania tygodniowe z przełożonym</t>
  </si>
  <si>
    <t>Planowanie budżetu rocznego</t>
  </si>
  <si>
    <t xml:space="preserve">Budżetowanie kwartalne </t>
  </si>
  <si>
    <t>Urodziny, nowe regulacje, maile adhoc</t>
  </si>
  <si>
    <t>Spotkania tygodniowe z pracownikami</t>
  </si>
  <si>
    <t>Spotkania kierowników</t>
  </si>
  <si>
    <t>Spotkania SMT</t>
  </si>
  <si>
    <t>Spotkania SMT+Kierownicy</t>
  </si>
  <si>
    <t>Spotkania ewaluacyjne półroczne (z przygotowaniem) z przełożonym</t>
  </si>
  <si>
    <t>Spotkania ewaluacyjne półroczne (z przygotowaniem) z pracownikiem</t>
  </si>
  <si>
    <t xml:space="preserve">Spotkania Zespołu </t>
  </si>
  <si>
    <t>Zrobienie Rki (projekt mały)</t>
  </si>
  <si>
    <t>DZIAŁANIA</t>
  </si>
  <si>
    <t>BILANS</t>
  </si>
  <si>
    <t>BUDŻET CZASU FY19</t>
  </si>
  <si>
    <t>Rozliczenie delegacji (F&amp;A)</t>
  </si>
  <si>
    <t>SUMA</t>
  </si>
  <si>
    <t>ZAPOTREZBOWANIE CZASU NA REALIZACJĘ CELÓW</t>
  </si>
  <si>
    <t>JEDNOSTKOWY CZAS WYKONANIA ZADAŃ</t>
  </si>
  <si>
    <t>PODSUMOWANIE</t>
  </si>
  <si>
    <t>CZAS NA OBOWIĄZKI POZAPROJEKTOWE</t>
  </si>
  <si>
    <t>POZAPROJEKTOWE</t>
  </si>
  <si>
    <t>KOMENTARZE</t>
  </si>
  <si>
    <t>ogólnofundacyjne infosharing</t>
  </si>
  <si>
    <t>Dodatkowe inicjatywy (np. knowledge retention, Walk the talk)</t>
  </si>
  <si>
    <t>Udział w RF</t>
  </si>
  <si>
    <t>Przygotowanie do RF</t>
  </si>
  <si>
    <t>Onboarding</t>
  </si>
  <si>
    <t>Sprawdzenie całości 1/msc</t>
  </si>
  <si>
    <t>Pytania mediów i prasówka (ad-hoc)</t>
  </si>
  <si>
    <t>Wraz z budowaniem agendy</t>
  </si>
  <si>
    <t>LIFE</t>
  </si>
  <si>
    <t>DOP+Comm+HR+całość</t>
  </si>
  <si>
    <t>Sprawozdawczość międzynarodowa</t>
  </si>
  <si>
    <t>NPO - CPM</t>
  </si>
  <si>
    <t>raz na miesiąc</t>
  </si>
  <si>
    <t>codziennie godzina</t>
  </si>
  <si>
    <t>Analiza Umów i pism</t>
  </si>
  <si>
    <t>3 posiedzenia z każdą z osób wraz z przygotowaniem</t>
  </si>
  <si>
    <t>Obsługa fundraisingu + współpraca z biznesem</t>
  </si>
  <si>
    <t xml:space="preserve">4 eventy </t>
  </si>
  <si>
    <t>Focal Points</t>
  </si>
  <si>
    <t>Rekrutacje</t>
  </si>
  <si>
    <t>Formalności HR (opisy stanowisk, plany urlopów, zatwierdzanie nieobecności)</t>
  </si>
  <si>
    <t>3 rozmowy z kandydatwami + 1 ostatnia * 3 rekrutacje/rok</t>
  </si>
  <si>
    <t>3 rekrutacje (opisy) + 3h na wnioski</t>
  </si>
  <si>
    <t>2 spotkania</t>
  </si>
  <si>
    <t>Klim, Circular, lądowe, morskie, międzynarodowy, Asystent DOP, Comm, HR, Dyr. Policy, PF2050</t>
  </si>
  <si>
    <t>Dzałanie 1</t>
  </si>
  <si>
    <t>Poddziałanie 1</t>
  </si>
  <si>
    <t>Poddziałanie 3</t>
  </si>
  <si>
    <t>Poddziałanie 2</t>
  </si>
  <si>
    <t>Poddziałanie 4</t>
  </si>
  <si>
    <t>Poddziałanie 5</t>
  </si>
  <si>
    <t>Poddziałanie 6</t>
  </si>
  <si>
    <t>Poddziałanie 7</t>
  </si>
  <si>
    <t>Poddziałanie 8</t>
  </si>
  <si>
    <t>Poddziałanie 9</t>
  </si>
  <si>
    <t>Poddziałanie 10</t>
  </si>
  <si>
    <t>Poddziałanie 11</t>
  </si>
  <si>
    <t>Poddziałanie 12</t>
  </si>
  <si>
    <t>Poddziałanie 13</t>
  </si>
  <si>
    <t>Poddziałanie 14</t>
  </si>
  <si>
    <t>Poddziałanie 15</t>
  </si>
  <si>
    <t>Poddziałanie 16</t>
  </si>
  <si>
    <t>Poddziałanie 17</t>
  </si>
  <si>
    <t>Poddziałanie 18</t>
  </si>
  <si>
    <t>Dzałanie 2</t>
  </si>
  <si>
    <t>Dzałanie 3</t>
  </si>
  <si>
    <t>Dzałanie 4</t>
  </si>
  <si>
    <t>Dzałanie 5</t>
  </si>
  <si>
    <t>Dzałanie 6</t>
  </si>
  <si>
    <t>Dzałanie 7</t>
  </si>
  <si>
    <t>Dzałanie 8</t>
  </si>
  <si>
    <t>Dzałanie 9</t>
  </si>
  <si>
    <t>Dzałanie 10</t>
  </si>
  <si>
    <t>Dzałanie 11</t>
  </si>
  <si>
    <t>Highlights i 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</si>
</sst>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0.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165" fontId="0" fillId="0" borderId="0" xfId="0" applyNumberFormat="1"/>
    <xf numFmtId="1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/>
    <xf numFmtId="1" fontId="0" fillId="0" borderId="0" xfId="0" applyNumberFormat="1"/>
    <xf numFmtId="0" fontId="0" fillId="0" borderId="0" xfId="0" applyFill="1"/>
    <xf numFmtId="165" fontId="0" fillId="0" borderId="0" xfId="0" applyNumberFormat="1" applyFill="1"/>
    <xf numFmtId="165" fontId="1" fillId="0" borderId="0" xfId="0" applyNumberFormat="1" applyFont="1"/>
    <xf numFmtId="0" fontId="1" fillId="2" borderId="0" xfId="0" applyFont="1" applyFill="1"/>
    <xf numFmtId="1" fontId="0" fillId="2" borderId="0" xfId="0" applyNumberFormat="1" applyFill="1"/>
    <xf numFmtId="0" fontId="1" fillId="0" borderId="0" xfId="0" applyFont="1" applyAlignment="1">
      <alignment horizontal="center"/>
    </xf>
  </cellXfs>
  <cellStyles count="3">
    <cellStyle name="Dziesiętny 2" xfId="2" xr:uid="{00000000-0005-0000-0000-000000000000}"/>
    <cellStyle name="Normal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zoomScale="160" zoomScaleNormal="160" workbookViewId="0">
      <selection activeCell="D10" sqref="D10"/>
    </sheetView>
  </sheetViews>
  <sheetFormatPr defaultColWidth="22.42578125" defaultRowHeight="15" x14ac:dyDescent="0.25"/>
  <cols>
    <col min="1" max="1" width="19" bestFit="1" customWidth="1"/>
    <col min="2" max="2" width="8.85546875" customWidth="1"/>
    <col min="3" max="3" width="7.85546875" bestFit="1" customWidth="1"/>
  </cols>
  <sheetData>
    <row r="1" spans="1:5" s="8" customFormat="1" x14ac:dyDescent="0.25">
      <c r="A1" s="15" t="s">
        <v>58</v>
      </c>
      <c r="B1" s="15"/>
      <c r="C1" s="15"/>
    </row>
    <row r="2" spans="1:5" x14ac:dyDescent="0.25">
      <c r="B2" s="7" t="s">
        <v>0</v>
      </c>
      <c r="C2" s="7" t="s">
        <v>1</v>
      </c>
    </row>
    <row r="3" spans="1:5" x14ac:dyDescent="0.25">
      <c r="A3" s="7" t="s">
        <v>53</v>
      </c>
      <c r="B3" s="9">
        <f>'Budżet czasu FY19'!B16</f>
        <v>210</v>
      </c>
      <c r="C3" s="9">
        <f>'Budżet czasu FY19'!C16</f>
        <v>1470</v>
      </c>
    </row>
    <row r="4" spans="1:5" x14ac:dyDescent="0.25">
      <c r="A4" s="7" t="s">
        <v>51</v>
      </c>
      <c r="B4" s="9">
        <f>Działania!D29</f>
        <v>91.744406196213419</v>
      </c>
      <c r="C4" s="9">
        <f>Działania!E29</f>
        <v>642.21084337349396</v>
      </c>
      <c r="E4" s="7"/>
    </row>
    <row r="5" spans="1:5" x14ac:dyDescent="0.25">
      <c r="A5" s="7" t="s">
        <v>60</v>
      </c>
      <c r="B5" s="9">
        <f>Pozaprojektowe!B35</f>
        <v>160.63855421686745</v>
      </c>
      <c r="C5" s="9">
        <f>Pozaprojektowe!C35</f>
        <v>1124.4698795180723</v>
      </c>
    </row>
    <row r="6" spans="1:5" x14ac:dyDescent="0.25">
      <c r="A6" s="13" t="s">
        <v>52</v>
      </c>
      <c r="B6" s="14">
        <f>B3-SUM(B4:B5)</f>
        <v>-42.382960413080866</v>
      </c>
      <c r="C6" s="14">
        <f>C3-SUM(C4:C5)</f>
        <v>-296.68072289156635</v>
      </c>
    </row>
    <row r="10" spans="1:5" x14ac:dyDescent="0.25">
      <c r="B10" s="8"/>
    </row>
    <row r="11" spans="1:5" x14ac:dyDescent="0.25">
      <c r="B11" s="7"/>
    </row>
    <row r="12" spans="1:5" x14ac:dyDescent="0.25">
      <c r="B12" s="7"/>
    </row>
    <row r="13" spans="1:5" x14ac:dyDescent="0.25">
      <c r="B13" s="7"/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7"/>
  <sheetViews>
    <sheetView zoomScale="183" zoomScaleNormal="183" workbookViewId="0">
      <selection activeCell="F7" sqref="F7"/>
    </sheetView>
  </sheetViews>
  <sheetFormatPr defaultColWidth="11.28515625" defaultRowHeight="15" x14ac:dyDescent="0.25"/>
  <cols>
    <col min="1" max="1" width="34.7109375" customWidth="1"/>
    <col min="2" max="2" width="8.140625" customWidth="1"/>
    <col min="4" max="4" width="11.28515625" style="8"/>
  </cols>
  <sheetData>
    <row r="1" spans="1:12" x14ac:dyDescent="0.25">
      <c r="A1" s="15" t="s">
        <v>4</v>
      </c>
      <c r="B1" s="15"/>
      <c r="C1" s="15"/>
      <c r="D1" s="6"/>
      <c r="E1" s="3"/>
      <c r="F1" s="8"/>
      <c r="G1" s="8"/>
      <c r="H1" s="8"/>
      <c r="I1" s="8"/>
      <c r="J1" s="8"/>
      <c r="K1" s="8"/>
      <c r="L1" s="8"/>
    </row>
    <row r="2" spans="1:12" x14ac:dyDescent="0.25">
      <c r="A2" s="1" t="s">
        <v>2</v>
      </c>
      <c r="B2" s="1" t="s">
        <v>0</v>
      </c>
      <c r="C2" s="7" t="s">
        <v>1</v>
      </c>
      <c r="D2" s="7" t="s">
        <v>28</v>
      </c>
      <c r="F2" s="8"/>
      <c r="G2" s="8"/>
      <c r="H2" s="8"/>
      <c r="I2" s="8"/>
      <c r="J2" s="8"/>
      <c r="K2" s="8"/>
      <c r="L2" s="8"/>
    </row>
    <row r="3" spans="1:12" x14ac:dyDescent="0.25">
      <c r="A3" t="s">
        <v>30</v>
      </c>
      <c r="C3">
        <v>7</v>
      </c>
      <c r="F3" s="8"/>
      <c r="G3" s="8"/>
      <c r="H3" s="8"/>
      <c r="I3" s="8"/>
      <c r="J3" s="8"/>
      <c r="K3" s="8"/>
      <c r="L3" s="8"/>
    </row>
    <row r="4" spans="1:12" x14ac:dyDescent="0.25">
      <c r="A4" t="s">
        <v>31</v>
      </c>
      <c r="B4">
        <v>249</v>
      </c>
      <c r="C4">
        <f>B4*$C$3</f>
        <v>1743</v>
      </c>
      <c r="F4" s="8"/>
      <c r="G4" s="8"/>
      <c r="H4" s="8"/>
      <c r="I4" s="8"/>
      <c r="J4" s="8"/>
      <c r="K4" s="8"/>
      <c r="L4" s="8"/>
    </row>
    <row r="5" spans="1:12" x14ac:dyDescent="0.25">
      <c r="A5" t="s">
        <v>32</v>
      </c>
      <c r="B5">
        <v>26</v>
      </c>
      <c r="C5">
        <f t="shared" ref="C5:C9" si="0">B5*$C$3</f>
        <v>182</v>
      </c>
      <c r="F5" s="8"/>
      <c r="G5" s="8"/>
      <c r="H5" s="8"/>
      <c r="I5" s="8"/>
      <c r="J5" s="8"/>
      <c r="K5" s="8"/>
      <c r="L5" s="8"/>
    </row>
    <row r="6" spans="1:12" x14ac:dyDescent="0.25">
      <c r="A6" t="s">
        <v>33</v>
      </c>
      <c r="B6">
        <v>2</v>
      </c>
      <c r="C6">
        <f t="shared" si="0"/>
        <v>14</v>
      </c>
      <c r="F6" s="8"/>
      <c r="G6" s="8"/>
      <c r="H6" s="8"/>
      <c r="I6" s="8"/>
      <c r="J6" s="8"/>
      <c r="K6" s="8"/>
      <c r="L6" s="8"/>
    </row>
    <row r="7" spans="1:12" x14ac:dyDescent="0.25">
      <c r="A7" t="s">
        <v>3</v>
      </c>
      <c r="B7">
        <v>10</v>
      </c>
      <c r="C7">
        <f t="shared" si="0"/>
        <v>70</v>
      </c>
      <c r="F7" s="8"/>
      <c r="G7" s="8"/>
      <c r="H7" s="8"/>
      <c r="I7" s="8"/>
      <c r="J7" s="8"/>
      <c r="K7" s="8"/>
      <c r="L7" s="8"/>
    </row>
    <row r="8" spans="1:12" x14ac:dyDescent="0.25">
      <c r="A8" t="s">
        <v>12</v>
      </c>
      <c r="B8">
        <v>0</v>
      </c>
      <c r="C8">
        <f t="shared" si="0"/>
        <v>0</v>
      </c>
      <c r="F8" s="8"/>
      <c r="G8" s="8"/>
      <c r="H8" s="8"/>
      <c r="I8" s="8"/>
      <c r="J8" s="8"/>
      <c r="K8" s="8"/>
      <c r="L8" s="8"/>
    </row>
    <row r="9" spans="1:12" x14ac:dyDescent="0.25">
      <c r="A9" t="s">
        <v>13</v>
      </c>
      <c r="B9">
        <v>1</v>
      </c>
      <c r="C9">
        <f t="shared" si="0"/>
        <v>7</v>
      </c>
      <c r="F9" s="8"/>
      <c r="G9" s="8"/>
      <c r="H9" s="8"/>
      <c r="I9" s="8"/>
      <c r="J9" s="8"/>
      <c r="K9" s="8"/>
      <c r="L9" s="8"/>
    </row>
    <row r="10" spans="1:12" x14ac:dyDescent="0.25">
      <c r="A10" t="s">
        <v>29</v>
      </c>
      <c r="D10" s="8">
        <v>52</v>
      </c>
      <c r="F10" s="8"/>
      <c r="G10" s="8"/>
      <c r="H10" s="8"/>
      <c r="I10" s="8"/>
      <c r="J10" s="8"/>
      <c r="K10" s="8"/>
      <c r="L10" s="8"/>
    </row>
    <row r="11" spans="1:12" x14ac:dyDescent="0.25">
      <c r="F11" s="8"/>
      <c r="G11" s="8"/>
      <c r="H11" s="8"/>
      <c r="I11" s="8"/>
      <c r="J11" s="8"/>
      <c r="K11" s="8"/>
      <c r="L11" s="8"/>
    </row>
    <row r="12" spans="1:12" x14ac:dyDescent="0.25">
      <c r="F12" s="8"/>
      <c r="G12" s="8"/>
      <c r="H12" s="8"/>
      <c r="I12" s="8"/>
      <c r="J12" s="8"/>
      <c r="K12" s="8"/>
      <c r="L12" s="8"/>
    </row>
    <row r="13" spans="1:12" x14ac:dyDescent="0.25">
      <c r="F13" s="8"/>
      <c r="G13" s="8"/>
      <c r="H13" s="8"/>
      <c r="I13" s="8"/>
      <c r="J13" s="8"/>
      <c r="K13" s="8"/>
      <c r="L13" s="8"/>
    </row>
    <row r="14" spans="1:12" x14ac:dyDescent="0.25">
      <c r="F14" s="8"/>
      <c r="G14" s="8"/>
      <c r="H14" s="8"/>
      <c r="I14" s="8"/>
      <c r="J14" s="8"/>
      <c r="K14" s="8"/>
      <c r="L14" s="8"/>
    </row>
    <row r="15" spans="1:12" x14ac:dyDescent="0.25">
      <c r="F15" s="8"/>
      <c r="G15" s="8"/>
      <c r="H15" s="8"/>
      <c r="I15" s="8"/>
      <c r="J15" s="8"/>
      <c r="K15" s="8"/>
      <c r="L15" s="8"/>
    </row>
    <row r="16" spans="1:12" x14ac:dyDescent="0.25">
      <c r="A16" s="2" t="s">
        <v>55</v>
      </c>
      <c r="B16" s="2">
        <f>B4-SUM(B5:B15)</f>
        <v>210</v>
      </c>
      <c r="C16" s="2">
        <f>C4-SUM(C5:C15)</f>
        <v>1470</v>
      </c>
      <c r="D16" s="5">
        <f>D10-(((B4-B16)/B4)*D10)</f>
        <v>43.855421686746986</v>
      </c>
      <c r="E16" s="2"/>
      <c r="F16" s="8"/>
      <c r="G16" s="8"/>
      <c r="H16" s="8"/>
      <c r="I16" s="8"/>
      <c r="J16" s="8"/>
      <c r="K16" s="8"/>
      <c r="L16" s="8"/>
    </row>
    <row r="17" spans="1:12" x14ac:dyDescent="0.25">
      <c r="A17" s="7"/>
      <c r="F17" s="8"/>
      <c r="G17" s="8"/>
      <c r="H17" s="8"/>
      <c r="I17" s="8"/>
      <c r="J17" s="8"/>
      <c r="K17" s="8"/>
      <c r="L17" s="8"/>
    </row>
    <row r="18" spans="1:12" x14ac:dyDescent="0.25">
      <c r="F18" s="8"/>
      <c r="G18" s="8"/>
      <c r="H18" s="8"/>
      <c r="I18" s="8"/>
      <c r="J18" s="8"/>
      <c r="K18" s="8"/>
      <c r="L18" s="8"/>
    </row>
    <row r="19" spans="1:12" x14ac:dyDescent="0.25">
      <c r="F19" s="8"/>
      <c r="G19" s="8"/>
      <c r="H19" s="8"/>
      <c r="I19" s="8"/>
      <c r="J19" s="8"/>
      <c r="K19" s="8"/>
      <c r="L19" s="8"/>
    </row>
    <row r="20" spans="1:12" x14ac:dyDescent="0.25">
      <c r="F20" s="8"/>
      <c r="G20" s="8"/>
      <c r="H20" s="8"/>
      <c r="I20" s="8"/>
      <c r="J20" s="8"/>
      <c r="K20" s="8"/>
      <c r="L20" s="8"/>
    </row>
    <row r="21" spans="1:12" x14ac:dyDescent="0.25">
      <c r="F21" s="8"/>
      <c r="G21" s="8"/>
      <c r="H21" s="8"/>
      <c r="I21" s="8"/>
      <c r="J21" s="8"/>
      <c r="K21" s="8"/>
      <c r="L21" s="8"/>
    </row>
    <row r="22" spans="1:12" x14ac:dyDescent="0.25">
      <c r="F22" s="8"/>
      <c r="G22" s="8"/>
      <c r="H22" s="8"/>
      <c r="I22" s="8"/>
      <c r="J22" s="8"/>
      <c r="K22" s="8"/>
      <c r="L22" s="8"/>
    </row>
    <row r="23" spans="1:12" x14ac:dyDescent="0.25">
      <c r="F23" s="8"/>
      <c r="G23" s="8"/>
      <c r="H23" s="8"/>
      <c r="I23" s="8"/>
      <c r="J23" s="8"/>
      <c r="K23" s="8"/>
      <c r="L23" s="8"/>
    </row>
    <row r="24" spans="1:12" x14ac:dyDescent="0.25">
      <c r="F24" s="8"/>
      <c r="G24" s="8"/>
      <c r="H24" s="8"/>
      <c r="I24" s="8"/>
      <c r="J24" s="8"/>
      <c r="K24" s="8"/>
      <c r="L24" s="8"/>
    </row>
    <row r="25" spans="1:12" x14ac:dyDescent="0.25">
      <c r="F25" s="8"/>
      <c r="G25" s="8"/>
      <c r="H25" s="8"/>
      <c r="I25" s="8"/>
      <c r="J25" s="8"/>
      <c r="K25" s="8"/>
      <c r="L25" s="8"/>
    </row>
    <row r="26" spans="1:12" x14ac:dyDescent="0.25">
      <c r="F26" s="8"/>
      <c r="G26" s="8"/>
      <c r="H26" s="8"/>
      <c r="I26" s="8"/>
      <c r="J26" s="8"/>
      <c r="K26" s="8"/>
      <c r="L26" s="8"/>
    </row>
    <row r="27" spans="1:12" x14ac:dyDescent="0.25">
      <c r="F27" s="8"/>
      <c r="G27" s="8"/>
      <c r="H27" s="8"/>
      <c r="I27" s="8"/>
      <c r="J27" s="8"/>
      <c r="K27" s="8"/>
      <c r="L27" s="8"/>
    </row>
    <row r="28" spans="1:12" x14ac:dyDescent="0.25">
      <c r="F28" s="8"/>
      <c r="G28" s="8"/>
      <c r="H28" s="8"/>
      <c r="I28" s="8"/>
      <c r="J28" s="8"/>
      <c r="K28" s="8"/>
      <c r="L28" s="8"/>
    </row>
    <row r="29" spans="1:12" x14ac:dyDescent="0.25">
      <c r="F29" s="8"/>
      <c r="G29" s="8"/>
      <c r="H29" s="8"/>
      <c r="I29" s="8"/>
      <c r="J29" s="8"/>
      <c r="K29" s="8"/>
      <c r="L29" s="8"/>
    </row>
    <row r="30" spans="1:12" x14ac:dyDescent="0.25">
      <c r="F30" s="8"/>
      <c r="G30" s="8"/>
      <c r="H30" s="8"/>
      <c r="I30" s="8"/>
      <c r="J30" s="8"/>
      <c r="K30" s="8"/>
      <c r="L30" s="8"/>
    </row>
    <row r="31" spans="1:12" x14ac:dyDescent="0.25">
      <c r="F31" s="8"/>
      <c r="G31" s="8"/>
      <c r="H31" s="8"/>
      <c r="I31" s="8"/>
      <c r="J31" s="8"/>
      <c r="K31" s="8"/>
      <c r="L31" s="8"/>
    </row>
    <row r="32" spans="1:12" x14ac:dyDescent="0.25">
      <c r="F32" s="8"/>
      <c r="G32" s="8"/>
      <c r="H32" s="8"/>
      <c r="I32" s="8"/>
      <c r="J32" s="8"/>
      <c r="K32" s="8"/>
      <c r="L32" s="8"/>
    </row>
    <row r="33" spans="6:12" x14ac:dyDescent="0.25">
      <c r="F33" s="8"/>
      <c r="G33" s="8"/>
      <c r="H33" s="8"/>
      <c r="I33" s="8"/>
      <c r="J33" s="8"/>
      <c r="K33" s="8"/>
      <c r="L33" s="8"/>
    </row>
    <row r="34" spans="6:12" x14ac:dyDescent="0.25">
      <c r="F34" s="8"/>
      <c r="G34" s="8"/>
      <c r="H34" s="8"/>
      <c r="I34" s="8"/>
      <c r="J34" s="8"/>
      <c r="K34" s="8"/>
      <c r="L34" s="8"/>
    </row>
    <row r="35" spans="6:12" x14ac:dyDescent="0.25">
      <c r="F35" s="8"/>
      <c r="G35" s="8"/>
      <c r="H35" s="8"/>
      <c r="I35" s="8"/>
      <c r="J35" s="8"/>
      <c r="K35" s="8"/>
      <c r="L35" s="8"/>
    </row>
    <row r="36" spans="6:12" x14ac:dyDescent="0.25">
      <c r="F36" s="8"/>
      <c r="G36" s="8"/>
      <c r="H36" s="8"/>
      <c r="I36" s="8"/>
      <c r="J36" s="8"/>
      <c r="K36" s="8"/>
      <c r="L36" s="8"/>
    </row>
    <row r="37" spans="6:12" x14ac:dyDescent="0.25">
      <c r="F37" s="8"/>
      <c r="G37" s="8"/>
      <c r="H37" s="8"/>
      <c r="I37" s="8"/>
      <c r="J37" s="8"/>
      <c r="K37" s="8"/>
      <c r="L37" s="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9"/>
  <sheetViews>
    <sheetView workbookViewId="0">
      <selection activeCell="B26" sqref="B26"/>
    </sheetView>
  </sheetViews>
  <sheetFormatPr defaultRowHeight="15" x14ac:dyDescent="0.25"/>
  <cols>
    <col min="1" max="1" width="12.28515625" bestFit="1" customWidth="1"/>
    <col min="2" max="2" width="15.42578125" bestFit="1" customWidth="1"/>
    <col min="3" max="3" width="52.5703125" customWidth="1"/>
    <col min="4" max="4" width="15.140625" bestFit="1" customWidth="1"/>
    <col min="5" max="5" width="10.5703125" bestFit="1" customWidth="1"/>
    <col min="6" max="6" width="52.5703125" customWidth="1"/>
  </cols>
  <sheetData>
    <row r="1" spans="1:6" s="8" customFormat="1" x14ac:dyDescent="0.25">
      <c r="A1" s="15" t="s">
        <v>56</v>
      </c>
      <c r="B1" s="15"/>
      <c r="C1" s="15"/>
      <c r="D1" s="15"/>
      <c r="E1" s="15"/>
    </row>
    <row r="2" spans="1:6" x14ac:dyDescent="0.25">
      <c r="A2" s="7"/>
      <c r="B2" s="7"/>
      <c r="C2" s="7"/>
      <c r="D2" s="15" t="s">
        <v>11</v>
      </c>
      <c r="E2" s="15"/>
    </row>
    <row r="3" spans="1:6" x14ac:dyDescent="0.25">
      <c r="A3" s="7" t="s">
        <v>8</v>
      </c>
      <c r="B3" s="7" t="s">
        <v>9</v>
      </c>
      <c r="C3" s="7" t="s">
        <v>10</v>
      </c>
      <c r="D3" s="7" t="s">
        <v>27</v>
      </c>
      <c r="E3" s="7" t="s">
        <v>26</v>
      </c>
    </row>
    <row r="4" spans="1:6" x14ac:dyDescent="0.25">
      <c r="A4" s="8"/>
      <c r="B4" s="8" t="s">
        <v>87</v>
      </c>
      <c r="C4" s="8" t="s">
        <v>88</v>
      </c>
      <c r="D4" s="4">
        <f t="shared" ref="D4:D11" si="0">E4/godzinWdniu</f>
        <v>3.4285714285714284</v>
      </c>
      <c r="E4" s="8">
        <f>4*6</f>
        <v>24</v>
      </c>
    </row>
    <row r="5" spans="1:6" x14ac:dyDescent="0.25">
      <c r="A5" s="8"/>
      <c r="C5" s="8" t="s">
        <v>90</v>
      </c>
      <c r="D5" s="4">
        <f t="shared" si="0"/>
        <v>9</v>
      </c>
      <c r="E5" s="8">
        <f>7*3+14*3</f>
        <v>63</v>
      </c>
    </row>
    <row r="6" spans="1:6" s="8" customFormat="1" x14ac:dyDescent="0.25">
      <c r="C6" s="8" t="s">
        <v>89</v>
      </c>
      <c r="D6" s="4">
        <f t="shared" si="0"/>
        <v>3.1428571428571428</v>
      </c>
      <c r="E6" s="8">
        <f>(7+4)*2</f>
        <v>22</v>
      </c>
      <c r="F6" s="8" t="s">
        <v>85</v>
      </c>
    </row>
    <row r="7" spans="1:6" x14ac:dyDescent="0.25">
      <c r="A7" s="8"/>
      <c r="B7" s="8" t="s">
        <v>106</v>
      </c>
      <c r="C7" s="8" t="s">
        <v>91</v>
      </c>
      <c r="D7" s="4">
        <f t="shared" si="0"/>
        <v>2</v>
      </c>
      <c r="E7" s="8">
        <f>2*7</f>
        <v>14</v>
      </c>
    </row>
    <row r="8" spans="1:6" x14ac:dyDescent="0.25">
      <c r="A8" s="8"/>
      <c r="C8" s="8" t="s">
        <v>92</v>
      </c>
      <c r="D8" s="4">
        <f t="shared" si="0"/>
        <v>1.2857142857142858</v>
      </c>
      <c r="E8" s="8">
        <f>1.5*6</f>
        <v>9</v>
      </c>
    </row>
    <row r="9" spans="1:6" x14ac:dyDescent="0.25">
      <c r="A9" s="8"/>
      <c r="C9" s="8" t="s">
        <v>93</v>
      </c>
      <c r="D9" s="4">
        <f t="shared" si="0"/>
        <v>2</v>
      </c>
      <c r="E9" s="9">
        <v>14</v>
      </c>
    </row>
    <row r="10" spans="1:6" x14ac:dyDescent="0.25">
      <c r="A10" s="8"/>
      <c r="B10" s="8" t="s">
        <v>107</v>
      </c>
      <c r="C10" s="8" t="s">
        <v>94</v>
      </c>
      <c r="D10" s="4">
        <f t="shared" si="0"/>
        <v>1.4285714285714286</v>
      </c>
      <c r="E10" s="8">
        <f>2*3+4</f>
        <v>10</v>
      </c>
    </row>
    <row r="11" spans="1:6" x14ac:dyDescent="0.25">
      <c r="A11" s="8"/>
      <c r="B11" s="8"/>
      <c r="C11" s="8" t="s">
        <v>95</v>
      </c>
      <c r="D11" s="4">
        <f t="shared" si="0"/>
        <v>0.6428571428571429</v>
      </c>
      <c r="E11" s="8">
        <f>1.5*3</f>
        <v>4.5</v>
      </c>
    </row>
    <row r="12" spans="1:6" x14ac:dyDescent="0.25">
      <c r="A12" s="8"/>
      <c r="B12" s="8"/>
      <c r="C12" s="8" t="s">
        <v>96</v>
      </c>
      <c r="D12" s="4">
        <v>5</v>
      </c>
      <c r="E12" s="9">
        <f>D12*godzinWdniu</f>
        <v>35</v>
      </c>
    </row>
    <row r="13" spans="1:6" x14ac:dyDescent="0.25">
      <c r="B13" s="8" t="s">
        <v>108</v>
      </c>
      <c r="C13" s="8" t="s">
        <v>97</v>
      </c>
      <c r="D13" s="4">
        <f>33</f>
        <v>33</v>
      </c>
      <c r="E13" s="9">
        <f>D13*godzinWdniu</f>
        <v>231</v>
      </c>
      <c r="F13" t="s">
        <v>77</v>
      </c>
    </row>
    <row r="14" spans="1:6" x14ac:dyDescent="0.25">
      <c r="B14" s="8" t="s">
        <v>109</v>
      </c>
      <c r="C14" s="8" t="s">
        <v>98</v>
      </c>
      <c r="D14" s="4">
        <f>E14/godzinWdniu</f>
        <v>3</v>
      </c>
      <c r="E14">
        <v>21</v>
      </c>
    </row>
    <row r="15" spans="1:6" x14ac:dyDescent="0.25">
      <c r="C15" s="8" t="s">
        <v>99</v>
      </c>
      <c r="D15" s="4">
        <f>E15/godzinWdniu</f>
        <v>3</v>
      </c>
      <c r="E15" s="8">
        <v>21</v>
      </c>
    </row>
    <row r="16" spans="1:6" x14ac:dyDescent="0.25">
      <c r="C16" s="8" t="s">
        <v>100</v>
      </c>
      <c r="D16" s="4">
        <f>E16/godzinWdniu</f>
        <v>12.53012048192771</v>
      </c>
      <c r="E16" s="9">
        <f>2*tygodni</f>
        <v>87.710843373493972</v>
      </c>
    </row>
    <row r="17" spans="2:5" x14ac:dyDescent="0.25">
      <c r="B17" s="8" t="s">
        <v>110</v>
      </c>
      <c r="C17" s="8" t="s">
        <v>101</v>
      </c>
      <c r="D17" s="4">
        <f>E17/godzinWdniu</f>
        <v>1</v>
      </c>
      <c r="E17">
        <v>7</v>
      </c>
    </row>
    <row r="18" spans="2:5" x14ac:dyDescent="0.25">
      <c r="C18" s="8" t="s">
        <v>102</v>
      </c>
      <c r="D18">
        <v>5</v>
      </c>
      <c r="E18">
        <f>D18*godzinWdniu</f>
        <v>35</v>
      </c>
    </row>
    <row r="19" spans="2:5" x14ac:dyDescent="0.25">
      <c r="B19" s="8" t="s">
        <v>111</v>
      </c>
      <c r="C19" s="8" t="s">
        <v>103</v>
      </c>
      <c r="D19" s="4">
        <f>E19/godzinWdniu</f>
        <v>2</v>
      </c>
      <c r="E19" s="8">
        <f>2*7</f>
        <v>14</v>
      </c>
    </row>
    <row r="20" spans="2:5" x14ac:dyDescent="0.25">
      <c r="C20" s="8" t="s">
        <v>104</v>
      </c>
      <c r="D20" s="4">
        <f>E20/godzinWdniu</f>
        <v>1.2857142857142858</v>
      </c>
      <c r="E20" s="8">
        <f>1.5*6</f>
        <v>9</v>
      </c>
    </row>
    <row r="21" spans="2:5" x14ac:dyDescent="0.25">
      <c r="C21" s="8" t="s">
        <v>105</v>
      </c>
      <c r="D21" s="4">
        <f>E21/godzinWdniu</f>
        <v>3</v>
      </c>
      <c r="E21" s="9">
        <v>21</v>
      </c>
    </row>
    <row r="22" spans="2:5" x14ac:dyDescent="0.25">
      <c r="B22" s="8" t="s">
        <v>112</v>
      </c>
    </row>
    <row r="23" spans="2:5" x14ac:dyDescent="0.25">
      <c r="B23" s="8" t="s">
        <v>113</v>
      </c>
    </row>
    <row r="24" spans="2:5" x14ac:dyDescent="0.25">
      <c r="B24" s="8" t="s">
        <v>114</v>
      </c>
    </row>
    <row r="25" spans="2:5" x14ac:dyDescent="0.25">
      <c r="B25" s="8" t="s">
        <v>115</v>
      </c>
    </row>
    <row r="27" spans="2:5" s="8" customFormat="1" x14ac:dyDescent="0.25"/>
    <row r="29" spans="2:5" x14ac:dyDescent="0.25">
      <c r="C29" s="7" t="s">
        <v>55</v>
      </c>
      <c r="D29" s="12">
        <f>SUM(D4:D23)</f>
        <v>91.744406196213419</v>
      </c>
      <c r="E29" s="12">
        <f>SUM(E4:E23)</f>
        <v>642.21084337349396</v>
      </c>
    </row>
  </sheetData>
  <mergeCells count="2">
    <mergeCell ref="D2:E2"/>
    <mergeCell ref="A1:E1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5"/>
  <sheetViews>
    <sheetView tabSelected="1" zoomScale="160" zoomScaleNormal="160" workbookViewId="0">
      <selection activeCell="C5" sqref="C5"/>
    </sheetView>
  </sheetViews>
  <sheetFormatPr defaultRowHeight="15" x14ac:dyDescent="0.25"/>
  <cols>
    <col min="1" max="1" width="72.5703125" bestFit="1" customWidth="1"/>
    <col min="2" max="2" width="6.42578125" bestFit="1" customWidth="1"/>
    <col min="3" max="3" width="7.85546875" bestFit="1" customWidth="1"/>
    <col min="4" max="4" width="23.5703125" customWidth="1"/>
  </cols>
  <sheetData>
    <row r="1" spans="1:4" x14ac:dyDescent="0.25">
      <c r="A1" s="15" t="s">
        <v>59</v>
      </c>
      <c r="B1" s="15"/>
      <c r="C1" s="15"/>
      <c r="D1" t="s">
        <v>61</v>
      </c>
    </row>
    <row r="2" spans="1:4" x14ac:dyDescent="0.25">
      <c r="A2" s="1" t="s">
        <v>2</v>
      </c>
      <c r="B2" s="1" t="s">
        <v>0</v>
      </c>
      <c r="C2" s="7" t="s">
        <v>1</v>
      </c>
      <c r="D2" s="7"/>
    </row>
    <row r="3" spans="1:4" x14ac:dyDescent="0.25">
      <c r="A3" s="8" t="s">
        <v>116</v>
      </c>
      <c r="B3" s="4">
        <f>C3/'Budżet czasu FY19'!C3</f>
        <v>3.1428571428571428</v>
      </c>
      <c r="C3" s="8">
        <f>2*11</f>
        <v>22</v>
      </c>
      <c r="D3" t="s">
        <v>67</v>
      </c>
    </row>
    <row r="4" spans="1:4" x14ac:dyDescent="0.25">
      <c r="A4" s="8" t="s">
        <v>5</v>
      </c>
      <c r="B4" s="4">
        <v>3</v>
      </c>
      <c r="C4" s="8">
        <f>B4*'Budżet czasu FY19'!C3</f>
        <v>21</v>
      </c>
    </row>
    <row r="5" spans="1:4" x14ac:dyDescent="0.25">
      <c r="A5" s="8" t="s">
        <v>49</v>
      </c>
      <c r="B5" s="4">
        <f>C5/'Budżet czasu FY19'!C3</f>
        <v>3.9285714285714284</v>
      </c>
      <c r="C5" s="8">
        <f>2.5*11</f>
        <v>27.5</v>
      </c>
    </row>
    <row r="6" spans="1:4" x14ac:dyDescent="0.25">
      <c r="A6" s="8" t="s">
        <v>35</v>
      </c>
      <c r="B6" s="4">
        <v>2</v>
      </c>
      <c r="C6" s="8">
        <f>B6*'Budżet czasu FY19'!C3</f>
        <v>14</v>
      </c>
    </row>
    <row r="7" spans="1:4" x14ac:dyDescent="0.25">
      <c r="A7" s="8" t="s">
        <v>37</v>
      </c>
      <c r="B7" s="4">
        <f>C7/'Budżet czasu FY19'!C3</f>
        <v>9.3975903614457827</v>
      </c>
      <c r="C7" s="9">
        <f>1.5*'Budżet czasu FY19'!D16</f>
        <v>65.783132530120483</v>
      </c>
    </row>
    <row r="8" spans="1:4" x14ac:dyDescent="0.25">
      <c r="A8" s="8" t="s">
        <v>38</v>
      </c>
      <c r="B8" s="4">
        <f>C8/godzinWdniu</f>
        <v>2.5714285714285716</v>
      </c>
      <c r="C8" s="8">
        <f>14+4</f>
        <v>18</v>
      </c>
      <c r="D8" t="s">
        <v>69</v>
      </c>
    </row>
    <row r="9" spans="1:4" x14ac:dyDescent="0.25">
      <c r="A9" s="8" t="s">
        <v>39</v>
      </c>
      <c r="B9" s="4">
        <f>C9/'Budżet czasu FY19'!C3</f>
        <v>6.2650602409638552</v>
      </c>
      <c r="C9" s="9">
        <f>'Budżet czasu FY19'!D16</f>
        <v>43.855421686746986</v>
      </c>
    </row>
    <row r="10" spans="1:4" x14ac:dyDescent="0.25">
      <c r="A10" s="8" t="s">
        <v>43</v>
      </c>
      <c r="B10" s="4">
        <f>C10/'Budżet czasu FY19'!C3</f>
        <v>62.650602409638552</v>
      </c>
      <c r="C10" s="9">
        <f>1*'Budżet czasu FY19'!D16*10</f>
        <v>438.55421686746985</v>
      </c>
      <c r="D10" t="s">
        <v>86</v>
      </c>
    </row>
    <row r="11" spans="1:4" x14ac:dyDescent="0.25">
      <c r="A11" s="8" t="s">
        <v>44</v>
      </c>
      <c r="B11" s="4">
        <v>0</v>
      </c>
      <c r="C11" s="9">
        <v>0</v>
      </c>
    </row>
    <row r="12" spans="1:4" x14ac:dyDescent="0.25">
      <c r="A12" s="8" t="s">
        <v>45</v>
      </c>
      <c r="B12" s="4">
        <f>C12/'Budżet czasu FY19'!C3</f>
        <v>23.244406196213422</v>
      </c>
      <c r="C12" s="9">
        <f>2*'Budżet czasu FY19'!D16+3*11+'Budżet czasu FY19'!C3*6</f>
        <v>162.71084337349396</v>
      </c>
    </row>
    <row r="13" spans="1:4" x14ac:dyDescent="0.25">
      <c r="A13" s="8" t="s">
        <v>46</v>
      </c>
      <c r="B13" s="4">
        <f>C13/'Budżet czasu FY19'!C3</f>
        <v>1.7142857142857142</v>
      </c>
      <c r="C13" s="9">
        <v>12</v>
      </c>
    </row>
    <row r="14" spans="1:4" x14ac:dyDescent="0.25">
      <c r="A14" s="8" t="s">
        <v>47</v>
      </c>
      <c r="B14" s="4">
        <f>C14/'Budżet czasu FY19'!C3</f>
        <v>1</v>
      </c>
      <c r="C14" s="8">
        <f>2*1.5+2*2</f>
        <v>7</v>
      </c>
    </row>
    <row r="15" spans="1:4" x14ac:dyDescent="0.25">
      <c r="A15" s="8" t="s">
        <v>48</v>
      </c>
      <c r="B15" s="4">
        <f>C15/'Budżet czasu FY19'!C3</f>
        <v>6.4285714285714288</v>
      </c>
      <c r="C15" s="8">
        <f>(1.5*9+1*9)*2</f>
        <v>45</v>
      </c>
    </row>
    <row r="16" spans="1:4" x14ac:dyDescent="0.25">
      <c r="A16" s="8" t="s">
        <v>36</v>
      </c>
      <c r="B16" s="4">
        <f>C16/'Budżet czasu FY19'!C3</f>
        <v>1.0714285714285714</v>
      </c>
      <c r="C16" s="8">
        <f>0.5*15</f>
        <v>7.5</v>
      </c>
    </row>
    <row r="17" spans="1:4" x14ac:dyDescent="0.25">
      <c r="A17" s="8" t="s">
        <v>68</v>
      </c>
      <c r="B17" s="4">
        <f>C17/'Budżet czasu FY19'!C3</f>
        <v>6.2650602409638552</v>
      </c>
      <c r="C17" s="9">
        <f>tygodni</f>
        <v>43.855421686746986</v>
      </c>
    </row>
    <row r="18" spans="1:4" x14ac:dyDescent="0.25">
      <c r="A18" s="8" t="s">
        <v>78</v>
      </c>
      <c r="B18" s="4">
        <v>4</v>
      </c>
      <c r="C18" s="8">
        <f>B18*godzinWdniu</f>
        <v>28</v>
      </c>
      <c r="D18" t="s">
        <v>79</v>
      </c>
    </row>
    <row r="19" spans="1:4" x14ac:dyDescent="0.25">
      <c r="A19" s="8" t="s">
        <v>14</v>
      </c>
      <c r="B19" s="4">
        <v>0</v>
      </c>
      <c r="C19" s="8">
        <v>0</v>
      </c>
    </row>
    <row r="20" spans="1:4" x14ac:dyDescent="0.25">
      <c r="A20" s="10" t="s">
        <v>34</v>
      </c>
      <c r="B20" s="11"/>
      <c r="C20" s="8"/>
    </row>
    <row r="21" spans="1:4" x14ac:dyDescent="0.25">
      <c r="A21" s="8" t="s">
        <v>15</v>
      </c>
      <c r="B21" s="4">
        <f>C21/godzinWdniu</f>
        <v>1.4285714285714286</v>
      </c>
      <c r="C21" s="8">
        <v>10</v>
      </c>
      <c r="D21" t="s">
        <v>70</v>
      </c>
    </row>
    <row r="22" spans="1:4" x14ac:dyDescent="0.25">
      <c r="A22" s="8" t="s">
        <v>42</v>
      </c>
      <c r="B22" s="4">
        <f>C22/godzinWdniu</f>
        <v>6.2650602409638552</v>
      </c>
      <c r="C22" s="9">
        <f>'Budżet czasu FY19'!D16</f>
        <v>43.855421686746986</v>
      </c>
      <c r="D22" t="s">
        <v>62</v>
      </c>
    </row>
    <row r="23" spans="1:4" x14ac:dyDescent="0.25">
      <c r="A23" s="8" t="s">
        <v>63</v>
      </c>
      <c r="B23" s="4">
        <f>C23/godzinWdniu</f>
        <v>6.2650602409638552</v>
      </c>
      <c r="C23" s="9">
        <f>'Budżet czasu FY19'!D16</f>
        <v>43.855421686746986</v>
      </c>
    </row>
    <row r="24" spans="1:4" x14ac:dyDescent="0.25">
      <c r="A24" s="8" t="s">
        <v>41</v>
      </c>
      <c r="B24" s="4">
        <f>C24/godzinWdniu</f>
        <v>0.8571428571428571</v>
      </c>
      <c r="C24" s="8">
        <v>6</v>
      </c>
    </row>
    <row r="25" spans="1:4" x14ac:dyDescent="0.25">
      <c r="A25" s="8" t="s">
        <v>40</v>
      </c>
      <c r="B25" s="4">
        <f>C25/godzinWdniu</f>
        <v>1.7142857142857142</v>
      </c>
      <c r="C25" s="8">
        <f>3+3+3+3</f>
        <v>12</v>
      </c>
      <c r="D25" t="s">
        <v>71</v>
      </c>
    </row>
    <row r="26" spans="1:4" x14ac:dyDescent="0.25">
      <c r="A26" t="s">
        <v>72</v>
      </c>
      <c r="B26" s="4">
        <f>C26/7</f>
        <v>1</v>
      </c>
      <c r="C26">
        <v>7</v>
      </c>
      <c r="D26" t="s">
        <v>73</v>
      </c>
    </row>
    <row r="27" spans="1:4" x14ac:dyDescent="0.25">
      <c r="A27" t="s">
        <v>64</v>
      </c>
      <c r="B27" s="4">
        <f>C27/7</f>
        <v>2.1428571428571428</v>
      </c>
      <c r="C27">
        <f>3*3+6</f>
        <v>15</v>
      </c>
    </row>
    <row r="28" spans="1:4" x14ac:dyDescent="0.25">
      <c r="A28" t="s">
        <v>65</v>
      </c>
      <c r="B28" s="4">
        <f>B27*2</f>
        <v>4.2857142857142856</v>
      </c>
      <c r="C28">
        <f>C27*2</f>
        <v>30</v>
      </c>
    </row>
    <row r="29" spans="1:4" s="8" customFormat="1" x14ac:dyDescent="0.25">
      <c r="A29" s="8" t="s">
        <v>66</v>
      </c>
      <c r="B29" s="4">
        <f>C29/godzinWdniu</f>
        <v>1.7142857142857142</v>
      </c>
      <c r="C29" s="8">
        <v>12</v>
      </c>
      <c r="D29" s="8" t="s">
        <v>74</v>
      </c>
    </row>
    <row r="30" spans="1:4" s="8" customFormat="1" x14ac:dyDescent="0.25">
      <c r="A30" s="8" t="s">
        <v>76</v>
      </c>
      <c r="B30" s="4">
        <f>C30/godzinWdniu</f>
        <v>30</v>
      </c>
      <c r="C30" s="8">
        <f>1*'Budżet czasu FY19'!B16</f>
        <v>210</v>
      </c>
      <c r="D30" s="8" t="s">
        <v>75</v>
      </c>
    </row>
    <row r="31" spans="1:4" s="8" customFormat="1" x14ac:dyDescent="0.25">
      <c r="A31" s="8" t="s">
        <v>80</v>
      </c>
      <c r="B31" s="4">
        <f>C31/godzinWdniu</f>
        <v>1.7142857142857142</v>
      </c>
      <c r="C31" s="8">
        <v>12</v>
      </c>
    </row>
    <row r="32" spans="1:4" s="8" customFormat="1" x14ac:dyDescent="0.25">
      <c r="A32" s="8" t="s">
        <v>81</v>
      </c>
      <c r="B32" s="4">
        <f>C32/godzinWdniu</f>
        <v>1.7142857142857142</v>
      </c>
      <c r="C32" s="8">
        <f>4*3</f>
        <v>12</v>
      </c>
      <c r="D32" s="8" t="s">
        <v>83</v>
      </c>
    </row>
    <row r="33" spans="1:4" s="8" customFormat="1" x14ac:dyDescent="0.25">
      <c r="A33" s="8" t="s">
        <v>82</v>
      </c>
      <c r="B33" s="4">
        <f>C33/godzinWdniu</f>
        <v>0.8571428571428571</v>
      </c>
      <c r="C33" s="8">
        <v>6</v>
      </c>
      <c r="D33" s="8" t="s">
        <v>84</v>
      </c>
    </row>
    <row r="34" spans="1:4" s="8" customFormat="1" x14ac:dyDescent="0.25">
      <c r="B34" s="4"/>
    </row>
    <row r="35" spans="1:4" x14ac:dyDescent="0.25">
      <c r="A35" s="7" t="s">
        <v>55</v>
      </c>
      <c r="B35" s="5">
        <f>SUM(B3:B28)</f>
        <v>160.63855421686745</v>
      </c>
      <c r="C35" s="5">
        <f>SUM(C3:C28)</f>
        <v>1124.4698795180723</v>
      </c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7"/>
  <sheetViews>
    <sheetView zoomScale="175" zoomScaleNormal="175" workbookViewId="0">
      <selection activeCell="A15" sqref="A15"/>
    </sheetView>
  </sheetViews>
  <sheetFormatPr defaultRowHeight="15" x14ac:dyDescent="0.25"/>
  <cols>
    <col min="1" max="1" width="62.140625" bestFit="1" customWidth="1"/>
    <col min="2" max="2" width="6.42578125" bestFit="1" customWidth="1"/>
    <col min="3" max="3" width="7.85546875" bestFit="1" customWidth="1"/>
  </cols>
  <sheetData>
    <row r="1" spans="1:3" x14ac:dyDescent="0.25">
      <c r="A1" s="15" t="s">
        <v>57</v>
      </c>
      <c r="B1" s="15"/>
      <c r="C1" s="15"/>
    </row>
    <row r="2" spans="1:3" x14ac:dyDescent="0.25">
      <c r="A2" s="1" t="s">
        <v>2</v>
      </c>
      <c r="B2" s="1" t="s">
        <v>0</v>
      </c>
      <c r="C2" s="7" t="s">
        <v>1</v>
      </c>
    </row>
    <row r="3" spans="1:3" x14ac:dyDescent="0.25">
      <c r="A3" s="8" t="s">
        <v>16</v>
      </c>
      <c r="B3" s="11">
        <f>C3/godzinWdniu</f>
        <v>0.2857142857142857</v>
      </c>
      <c r="C3" s="8">
        <v>2</v>
      </c>
    </row>
    <row r="4" spans="1:3" x14ac:dyDescent="0.25">
      <c r="A4" s="8" t="s">
        <v>17</v>
      </c>
      <c r="B4" s="8">
        <v>10</v>
      </c>
      <c r="C4" s="8">
        <f>B4*godzinWdniu</f>
        <v>70</v>
      </c>
    </row>
    <row r="5" spans="1:3" x14ac:dyDescent="0.25">
      <c r="A5" s="8" t="s">
        <v>18</v>
      </c>
      <c r="B5" s="4">
        <f>C5/godzinWdniu</f>
        <v>3.4285714285714284</v>
      </c>
      <c r="C5" s="8">
        <v>24</v>
      </c>
    </row>
    <row r="6" spans="1:3" x14ac:dyDescent="0.25">
      <c r="A6" s="8" t="s">
        <v>6</v>
      </c>
      <c r="B6" s="4">
        <f>C6/godzinWdniu</f>
        <v>0.2857142857142857</v>
      </c>
      <c r="C6" s="8">
        <v>2</v>
      </c>
    </row>
    <row r="7" spans="1:3" x14ac:dyDescent="0.25">
      <c r="A7" s="8" t="s">
        <v>7</v>
      </c>
      <c r="B7" s="4">
        <f>C7/godzinWdniu</f>
        <v>0.5714285714285714</v>
      </c>
      <c r="C7" s="8">
        <v>4</v>
      </c>
    </row>
    <row r="8" spans="1:3" x14ac:dyDescent="0.25">
      <c r="A8" s="8" t="s">
        <v>23</v>
      </c>
      <c r="B8" s="8">
        <f>C8/godzinWdniu</f>
        <v>1</v>
      </c>
      <c r="C8" s="8">
        <v>7</v>
      </c>
    </row>
    <row r="9" spans="1:3" x14ac:dyDescent="0.25">
      <c r="A9" s="8" t="s">
        <v>20</v>
      </c>
      <c r="B9" s="4">
        <f>C9/godzinWdniu</f>
        <v>3.4285714285714284</v>
      </c>
      <c r="C9" s="8">
        <v>24</v>
      </c>
    </row>
    <row r="10" spans="1:3" x14ac:dyDescent="0.25">
      <c r="A10" s="8" t="s">
        <v>21</v>
      </c>
      <c r="B10" s="8">
        <v>28</v>
      </c>
      <c r="C10" s="8">
        <f>B10*godzinWdniu</f>
        <v>196</v>
      </c>
    </row>
    <row r="11" spans="1:3" x14ac:dyDescent="0.25">
      <c r="A11" s="8" t="s">
        <v>19</v>
      </c>
      <c r="B11" s="4">
        <f>C11/godzinWdniu</f>
        <v>9.1428571428571423</v>
      </c>
      <c r="C11" s="8">
        <v>64</v>
      </c>
    </row>
    <row r="12" spans="1:3" x14ac:dyDescent="0.25">
      <c r="A12" s="8" t="s">
        <v>22</v>
      </c>
      <c r="B12" s="8">
        <v>1.5</v>
      </c>
      <c r="C12" s="8">
        <f>B12*godzinWdniu</f>
        <v>10.5</v>
      </c>
    </row>
    <row r="13" spans="1:3" x14ac:dyDescent="0.25">
      <c r="A13" s="8" t="s">
        <v>25</v>
      </c>
      <c r="B13" s="8">
        <v>8</v>
      </c>
      <c r="C13" s="8">
        <f>B13*godzinWdniu</f>
        <v>56</v>
      </c>
    </row>
    <row r="14" spans="1:3" x14ac:dyDescent="0.25">
      <c r="A14" s="8" t="s">
        <v>24</v>
      </c>
      <c r="B14" s="8">
        <f>3+5</f>
        <v>8</v>
      </c>
      <c r="C14" s="8">
        <f>B14*godzinWdniu</f>
        <v>56</v>
      </c>
    </row>
    <row r="15" spans="1:3" x14ac:dyDescent="0.25">
      <c r="A15" s="8" t="s">
        <v>50</v>
      </c>
      <c r="B15" s="8"/>
      <c r="C15" s="8"/>
    </row>
    <row r="16" spans="1:3" x14ac:dyDescent="0.25">
      <c r="A16" s="8" t="s">
        <v>54</v>
      </c>
      <c r="B16" s="8"/>
      <c r="C16" s="8"/>
    </row>
    <row r="17" spans="1:3" x14ac:dyDescent="0.25">
      <c r="A17" s="8"/>
      <c r="B17" s="8"/>
      <c r="C17" s="8"/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Podsumowanie</vt:lpstr>
      <vt:lpstr>Budżet czasu FY19</vt:lpstr>
      <vt:lpstr>Działania</vt:lpstr>
      <vt:lpstr>Pozaprojektowe</vt:lpstr>
      <vt:lpstr>Założenia jednostkowe</vt:lpstr>
      <vt:lpstr>godzinWdniu</vt:lpstr>
      <vt:lpstr>tygodni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2020-03-21T15:39:22Z</dcterms:created>
  <dcterms:modified xsi:type="dcterms:W3CDTF">2020-03-21T15:39:30Z</dcterms:modified>
</cp:coreProperties>
</file>